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25" windowHeight="6795" activeTab="0"/>
  </bookViews>
  <sheets>
    <sheet name="DICAS" sheetId="1" r:id="rId1"/>
    <sheet name="Relizado x Orçado" sheetId="2" r:id="rId2"/>
    <sheet name="Simulações" sheetId="3" r:id="rId3"/>
  </sheets>
  <definedNames/>
  <calcPr fullCalcOnLoad="1"/>
</workbook>
</file>

<file path=xl/sharedStrings.xml><?xml version="1.0" encoding="utf-8"?>
<sst xmlns="http://schemas.openxmlformats.org/spreadsheetml/2006/main" count="71" uniqueCount="56">
  <si>
    <t>DICAS DE COMO MONTAR ORÇAMENTO:</t>
  </si>
  <si>
    <t>1. Reúna informações básicas sobre o negócio. Para saber como fazê-lo, sugerimos a seguinte obra:</t>
  </si>
  <si>
    <t>CONTABILIDADE GERENCIAL</t>
  </si>
  <si>
    <t>2. Cheque bem as projeções de receitas - baseando-se em dados históricos e considerando a sazonalidade de vendas</t>
  </si>
  <si>
    <t>3. Em qualquer negócio, há despesas e gastos específicos. Faça uma previsão razoável e inclua-a na planilha</t>
  </si>
  <si>
    <t>4. Não esqueça de incluir pró-labore dos diretores e sócios, pagamentos de juros e outros gastos habituais</t>
  </si>
  <si>
    <t>5. Revise periodicamente seu orçamento</t>
  </si>
  <si>
    <t>6. Cheque os planos de expansão e investimento da empresa.</t>
  </si>
  <si>
    <t xml:space="preserve">DISCRIMINAÇÃO </t>
  </si>
  <si>
    <t xml:space="preserve">REALIZADO </t>
  </si>
  <si>
    <t>ORÇADO</t>
  </si>
  <si>
    <t>REAL X ORÇADO</t>
  </si>
  <si>
    <t>Acumulado/Ano</t>
  </si>
  <si>
    <t xml:space="preserve">Valor(R$) </t>
  </si>
  <si>
    <t xml:space="preserve">% </t>
  </si>
  <si>
    <t>RECEITAS VENDAS</t>
  </si>
  <si>
    <t>Mercadorias</t>
  </si>
  <si>
    <t>Serviços</t>
  </si>
  <si>
    <t xml:space="preserve">TOTAL CUSTOS VARIÁVEIS </t>
  </si>
  <si>
    <t xml:space="preserve">(-) DEDUÇÕES DA RECEITA </t>
  </si>
  <si>
    <t>Devolução Venda</t>
  </si>
  <si>
    <t>Impostos Vendas</t>
  </si>
  <si>
    <t>(-)CUSTOS E DESPESAS VARIÁVEIS</t>
  </si>
  <si>
    <t xml:space="preserve">Custo Mercadoria Vendida </t>
  </si>
  <si>
    <t>Fretes CIF</t>
  </si>
  <si>
    <t>Comissões Vendas</t>
  </si>
  <si>
    <t>MARGEM CONTRIBUIÇÃO</t>
  </si>
  <si>
    <t>CUSTOS FIXOS</t>
  </si>
  <si>
    <t>Administração</t>
  </si>
  <si>
    <t xml:space="preserve">Gerais </t>
  </si>
  <si>
    <t xml:space="preserve">Recursos Humanos </t>
  </si>
  <si>
    <t>Vendas</t>
  </si>
  <si>
    <t>Produção</t>
  </si>
  <si>
    <t>DESPESAS - RECEITAS FINANCEIRAS</t>
  </si>
  <si>
    <t xml:space="preserve">RESULTADO OPERACIONAL </t>
  </si>
  <si>
    <t xml:space="preserve">RESULTADO NÃO-OPERACIONAL </t>
  </si>
  <si>
    <t xml:space="preserve">Contribuição Social </t>
  </si>
  <si>
    <t xml:space="preserve">IRPJ </t>
  </si>
  <si>
    <t xml:space="preserve">RESULTADO LÍQUIDO </t>
  </si>
  <si>
    <t>Período de 01.06 a 30.06.2003</t>
  </si>
  <si>
    <t xml:space="preserve">Resultado Base </t>
  </si>
  <si>
    <t>Simulação 1</t>
  </si>
  <si>
    <t>Simulação 2</t>
  </si>
  <si>
    <t xml:space="preserve">Aumento de 20% volume </t>
  </si>
  <si>
    <t xml:space="preserve">Redução 10% c/  Despesas Fixas </t>
  </si>
  <si>
    <t xml:space="preserve">Aumento de 7% Preço </t>
  </si>
  <si>
    <r>
      <t>Receita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Total</t>
    </r>
  </si>
  <si>
    <t>Custos e despesas variáveis</t>
  </si>
  <si>
    <t>Margem de contribuição</t>
  </si>
  <si>
    <t>Despesas fixas</t>
  </si>
  <si>
    <t>Resultado Bruto</t>
  </si>
  <si>
    <t>Despesas Financeiras</t>
  </si>
  <si>
    <t>IRPJ/CSL</t>
  </si>
  <si>
    <t>Resultado Líquido</t>
  </si>
  <si>
    <t>% Variação Resultado</t>
  </si>
  <si>
    <t xml:space="preserve">  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</si>
</sst>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0.0%"/>
  </numFmts>
  <fonts count="9">
    <font>
      <sz val="12"/>
      <name val="Times New Roman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43" fontId="4" fillId="0" borderId="0" xfId="20" applyFont="1" applyFill="1" applyAlignment="1">
      <alignment vertical="center" wrapText="1"/>
    </xf>
    <xf numFmtId="9" fontId="4" fillId="0" borderId="0" xfId="20" applyNumberFormat="1" applyFont="1" applyFill="1" applyAlignment="1">
      <alignment vertical="center" wrapText="1"/>
    </xf>
    <xf numFmtId="167" fontId="4" fillId="0" borderId="0" xfId="20" applyNumberFormat="1" applyFont="1" applyFill="1" applyAlignment="1">
      <alignment vertical="center" wrapText="1"/>
    </xf>
    <xf numFmtId="10" fontId="4" fillId="0" borderId="0" xfId="20" applyNumberFormat="1" applyFont="1" applyFill="1" applyAlignment="1">
      <alignment vertical="center" wrapText="1"/>
    </xf>
    <xf numFmtId="43" fontId="4" fillId="0" borderId="0" xfId="2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top" wrapText="1"/>
    </xf>
    <xf numFmtId="9" fontId="4" fillId="0" borderId="2" xfId="20" applyNumberFormat="1" applyFont="1" applyFill="1" applyBorder="1" applyAlignment="1">
      <alignment vertical="center" wrapText="1"/>
    </xf>
    <xf numFmtId="10" fontId="4" fillId="0" borderId="2" xfId="2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top" wrapText="1"/>
    </xf>
    <xf numFmtId="43" fontId="4" fillId="0" borderId="4" xfId="20" applyFont="1" applyFill="1" applyBorder="1" applyAlignment="1">
      <alignment vertical="center" wrapText="1"/>
    </xf>
    <xf numFmtId="10" fontId="4" fillId="0" borderId="4" xfId="20" applyNumberFormat="1" applyFont="1" applyFill="1" applyBorder="1" applyAlignment="1">
      <alignment vertical="center" wrapText="1"/>
    </xf>
    <xf numFmtId="167" fontId="4" fillId="0" borderId="4" xfId="20" applyNumberFormat="1" applyFont="1" applyFill="1" applyBorder="1" applyAlignment="1">
      <alignment vertical="center" wrapText="1"/>
    </xf>
    <xf numFmtId="4" fontId="1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4" fontId="2" fillId="0" borderId="0" xfId="0" applyNumberFormat="1" applyFont="1" applyFill="1" applyAlignment="1">
      <alignment horizontal="right" vertical="top" wrapText="1"/>
    </xf>
    <xf numFmtId="10" fontId="1" fillId="0" borderId="0" xfId="0" applyNumberFormat="1" applyFont="1" applyFill="1" applyAlignment="1">
      <alignment horizontal="right" vertical="top" wrapText="1"/>
    </xf>
    <xf numFmtId="43" fontId="1" fillId="0" borderId="0" xfId="20" applyFont="1" applyFill="1" applyAlignment="1">
      <alignment horizontal="center" vertical="top" wrapText="1"/>
    </xf>
    <xf numFmtId="10" fontId="1" fillId="0" borderId="2" xfId="0" applyNumberFormat="1" applyFont="1" applyFill="1" applyBorder="1" applyAlignment="1">
      <alignment horizontal="right" vertical="top" wrapText="1"/>
    </xf>
    <xf numFmtId="43" fontId="1" fillId="0" borderId="2" xfId="2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10" fontId="1" fillId="0" borderId="0" xfId="0" applyNumberFormat="1" applyFont="1" applyFill="1" applyBorder="1" applyAlignment="1">
      <alignment horizontal="right" vertical="top" wrapText="1"/>
    </xf>
    <xf numFmtId="9" fontId="4" fillId="0" borderId="0" xfId="20" applyNumberFormat="1" applyFont="1" applyFill="1" applyBorder="1" applyAlignment="1">
      <alignment vertical="center" wrapText="1"/>
    </xf>
    <xf numFmtId="10" fontId="4" fillId="0" borderId="0" xfId="20" applyNumberFormat="1" applyFont="1" applyFill="1" applyBorder="1" applyAlignment="1">
      <alignment vertical="center" wrapText="1"/>
    </xf>
    <xf numFmtId="10" fontId="4" fillId="0" borderId="6" xfId="2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43" fontId="4" fillId="0" borderId="7" xfId="20" applyFont="1" applyFill="1" applyBorder="1" applyAlignment="1">
      <alignment vertical="center" wrapText="1"/>
    </xf>
    <xf numFmtId="43" fontId="4" fillId="0" borderId="8" xfId="20" applyFont="1" applyFill="1" applyBorder="1" applyAlignment="1">
      <alignment vertical="center" wrapText="1"/>
    </xf>
    <xf numFmtId="43" fontId="4" fillId="0" borderId="8" xfId="2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top" wrapText="1"/>
    </xf>
    <xf numFmtId="0" fontId="4" fillId="0" borderId="12" xfId="0" applyFont="1" applyFill="1" applyBorder="1" applyAlignment="1">
      <alignment horizontal="centerContinuous" vertical="top" wrapText="1"/>
    </xf>
    <xf numFmtId="0" fontId="4" fillId="0" borderId="8" xfId="0" applyFont="1" applyFill="1" applyBorder="1" applyAlignment="1">
      <alignment horizontal="centerContinuous" vertical="top" wrapText="1"/>
    </xf>
    <xf numFmtId="0" fontId="4" fillId="0" borderId="2" xfId="0" applyFont="1" applyFill="1" applyBorder="1" applyAlignment="1">
      <alignment horizontal="centerContinuous" vertical="top" wrapText="1"/>
    </xf>
    <xf numFmtId="0" fontId="4" fillId="0" borderId="1" xfId="0" applyFont="1" applyFill="1" applyBorder="1" applyAlignment="1">
      <alignment horizontal="centerContinuous" vertical="top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11" xfId="0" applyFont="1" applyFill="1" applyBorder="1" applyAlignment="1">
      <alignment horizontal="centerContinuous" vertical="top" wrapText="1"/>
    </xf>
    <xf numFmtId="0" fontId="4" fillId="0" borderId="3" xfId="0" applyFont="1" applyFill="1" applyBorder="1" applyAlignment="1">
      <alignment horizontal="centerContinuous" vertical="top" wrapText="1"/>
    </xf>
    <xf numFmtId="17" fontId="4" fillId="0" borderId="0" xfId="0" applyNumberFormat="1" applyFont="1" applyFill="1" applyAlignment="1">
      <alignment horizontal="centerContinuous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2" xfId="0" applyFont="1" applyFill="1" applyBorder="1" applyAlignment="1">
      <alignment horizontal="centerContinuous" vertical="top" wrapText="1"/>
    </xf>
    <xf numFmtId="0" fontId="1" fillId="0" borderId="10" xfId="0" applyFont="1" applyFill="1" applyBorder="1" applyAlignment="1">
      <alignment horizontal="centerContinuous" vertical="top" wrapText="1"/>
    </xf>
    <xf numFmtId="0" fontId="1" fillId="0" borderId="0" xfId="0" applyFont="1" applyFill="1" applyBorder="1" applyAlignment="1">
      <alignment horizontal="centerContinuous" vertical="top" wrapText="1"/>
    </xf>
    <xf numFmtId="0" fontId="1" fillId="0" borderId="5" xfId="0" applyFont="1" applyFill="1" applyBorder="1" applyAlignment="1">
      <alignment horizontal="centerContinuous" vertical="top" wrapText="1"/>
    </xf>
    <xf numFmtId="0" fontId="1" fillId="0" borderId="0" xfId="0" applyFont="1" applyFill="1" applyAlignment="1">
      <alignment horizontal="centerContinuous" vertical="center" wrapText="1"/>
    </xf>
    <xf numFmtId="0" fontId="7" fillId="0" borderId="0" xfId="15" applyAlignment="1">
      <alignment/>
    </xf>
  </cellXfs>
  <cellStyles count="8">
    <cellStyle name="Normal" xfId="0"/>
    <cellStyle name="Hyperlink" xfId="15"/>
    <cellStyle name="Hyperlink seguido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taldecontabilidade.com.br/obras/gerencial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workbookViewId="0" topLeftCell="A1">
      <selection activeCell="A3" sqref="A3"/>
    </sheetView>
  </sheetViews>
  <sheetFormatPr defaultColWidth="9.00390625" defaultRowHeight="15.75"/>
  <cols>
    <col min="1" max="1" width="84.875" style="0" customWidth="1"/>
  </cols>
  <sheetData>
    <row r="1" ht="15.75">
      <c r="A1" t="s">
        <v>0</v>
      </c>
    </row>
    <row r="2" ht="15.75">
      <c r="A2" t="s">
        <v>1</v>
      </c>
    </row>
    <row r="3" ht="15.75">
      <c r="A3" s="53" t="s">
        <v>2</v>
      </c>
    </row>
    <row r="5" ht="15.75">
      <c r="A5" t="s">
        <v>3</v>
      </c>
    </row>
    <row r="7" ht="15.75">
      <c r="A7" t="s">
        <v>4</v>
      </c>
    </row>
    <row r="9" ht="15.75">
      <c r="A9" t="s">
        <v>5</v>
      </c>
    </row>
    <row r="11" ht="15.75">
      <c r="A11" t="s">
        <v>6</v>
      </c>
    </row>
    <row r="13" ht="15.75">
      <c r="A13" t="s">
        <v>7</v>
      </c>
    </row>
  </sheetData>
  <hyperlinks>
    <hyperlink ref="A3" r:id="rId1" display="CONTABILIDADE GERENCIAL"/>
  </hyperlinks>
  <printOptions/>
  <pageMargins left="0.75" right="0.75" top="1" bottom="1" header="0.492125985" footer="0.49212598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B3"/>
    </sheetView>
  </sheetViews>
  <sheetFormatPr defaultColWidth="9.00390625" defaultRowHeight="15.75"/>
  <cols>
    <col min="1" max="1" width="4.00390625" style="7" customWidth="1"/>
    <col min="2" max="2" width="13.75390625" style="7" customWidth="1"/>
    <col min="3" max="3" width="12.125" style="7" customWidth="1"/>
    <col min="4" max="4" width="9.00390625" style="7" customWidth="1"/>
    <col min="5" max="5" width="9.75390625" style="7" customWidth="1"/>
    <col min="6" max="6" width="9.00390625" style="29" customWidth="1"/>
    <col min="7" max="7" width="9.75390625" style="29" customWidth="1"/>
    <col min="8" max="8" width="9.00390625" style="29" customWidth="1"/>
    <col min="9" max="10" width="9.00390625" style="7" customWidth="1"/>
    <col min="11" max="16384" width="9.00390625" style="1" customWidth="1"/>
  </cols>
  <sheetData>
    <row r="1" spans="1:10" ht="15">
      <c r="A1" s="42" t="s">
        <v>8</v>
      </c>
      <c r="B1" s="42"/>
      <c r="C1" s="41" t="s">
        <v>9</v>
      </c>
      <c r="D1" s="41"/>
      <c r="E1" s="41"/>
      <c r="F1" s="41"/>
      <c r="G1" s="43" t="s">
        <v>10</v>
      </c>
      <c r="H1" s="44"/>
      <c r="I1" s="41" t="s">
        <v>11</v>
      </c>
      <c r="J1" s="41"/>
    </row>
    <row r="2" spans="1:10" ht="15">
      <c r="A2" s="42"/>
      <c r="B2" s="42"/>
      <c r="C2" s="45">
        <v>37742</v>
      </c>
      <c r="D2" s="37"/>
      <c r="E2" s="38" t="s">
        <v>12</v>
      </c>
      <c r="F2" s="38"/>
      <c r="G2" s="39" t="s">
        <v>12</v>
      </c>
      <c r="H2" s="40"/>
      <c r="I2" s="37" t="s">
        <v>12</v>
      </c>
      <c r="J2" s="37"/>
    </row>
    <row r="3" spans="1:10" ht="15.75" thickBot="1">
      <c r="A3" s="42"/>
      <c r="B3" s="42"/>
      <c r="C3" s="8" t="s">
        <v>13</v>
      </c>
      <c r="D3" s="8" t="s">
        <v>14</v>
      </c>
      <c r="E3" s="8" t="s">
        <v>13</v>
      </c>
      <c r="F3" s="11" t="s">
        <v>14</v>
      </c>
      <c r="G3" s="33" t="s">
        <v>13</v>
      </c>
      <c r="H3" s="34" t="s">
        <v>14</v>
      </c>
      <c r="I3" s="35" t="s">
        <v>13</v>
      </c>
      <c r="J3" s="8" t="s">
        <v>14</v>
      </c>
    </row>
    <row r="4" spans="1:10" ht="15" customHeight="1">
      <c r="A4" s="37" t="s">
        <v>15</v>
      </c>
      <c r="B4" s="37"/>
      <c r="C4" s="2">
        <f>C5+C6</f>
        <v>109419.5</v>
      </c>
      <c r="D4" s="3">
        <v>1</v>
      </c>
      <c r="E4" s="2">
        <f>E5+E6</f>
        <v>525601.54</v>
      </c>
      <c r="F4" s="26">
        <v>1</v>
      </c>
      <c r="G4" s="31">
        <f>G5+G6</f>
        <v>505000</v>
      </c>
      <c r="H4" s="9">
        <v>1</v>
      </c>
      <c r="I4" s="2">
        <f>E4-G4</f>
        <v>20601.540000000037</v>
      </c>
      <c r="J4" s="4">
        <f>E4/G4</f>
        <v>1.0407951287128714</v>
      </c>
    </row>
    <row r="5" spans="1:10" ht="16.5" customHeight="1">
      <c r="A5" s="37" t="s">
        <v>16</v>
      </c>
      <c r="B5" s="37"/>
      <c r="C5" s="2">
        <v>94294.5</v>
      </c>
      <c r="D5" s="5">
        <f aca="true" t="shared" si="0" ref="D5:D27">C5/C$4</f>
        <v>0.861770525363395</v>
      </c>
      <c r="E5" s="2">
        <v>450151.5</v>
      </c>
      <c r="F5" s="27">
        <f>E5/E$4</f>
        <v>0.8564501161849716</v>
      </c>
      <c r="G5" s="31">
        <v>440000</v>
      </c>
      <c r="H5" s="10">
        <f>G5/G$4</f>
        <v>0.8712871287128713</v>
      </c>
      <c r="I5" s="2">
        <f aca="true" t="shared" si="1" ref="I5:I27">E5-G5</f>
        <v>10151.5</v>
      </c>
      <c r="J5" s="4">
        <f aca="true" t="shared" si="2" ref="J5:J27">E5/G5</f>
        <v>1.0230715909090908</v>
      </c>
    </row>
    <row r="6" spans="1:10" ht="13.5" customHeight="1">
      <c r="A6" s="37" t="s">
        <v>17</v>
      </c>
      <c r="B6" s="37"/>
      <c r="C6" s="2">
        <v>15125</v>
      </c>
      <c r="D6" s="5">
        <f t="shared" si="0"/>
        <v>0.13822947463660498</v>
      </c>
      <c r="E6" s="2">
        <v>75450.04</v>
      </c>
      <c r="F6" s="27">
        <f aca="true" t="shared" si="3" ref="F6:F27">E6/E$4</f>
        <v>0.14354988381502837</v>
      </c>
      <c r="G6" s="31">
        <v>65000</v>
      </c>
      <c r="H6" s="10">
        <f aca="true" t="shared" si="4" ref="H6:H27">G6/G$4</f>
        <v>0.12871287128712872</v>
      </c>
      <c r="I6" s="2">
        <f t="shared" si="1"/>
        <v>10450.039999999994</v>
      </c>
      <c r="J6" s="4">
        <f t="shared" si="2"/>
        <v>1.160769846153846</v>
      </c>
    </row>
    <row r="7" spans="1:10" ht="27" customHeight="1">
      <c r="A7" s="37" t="s">
        <v>18</v>
      </c>
      <c r="B7" s="37"/>
      <c r="C7" s="2">
        <f>C8+C11</f>
        <v>51325.90175</v>
      </c>
      <c r="D7" s="5">
        <f t="shared" si="0"/>
        <v>0.469074541100992</v>
      </c>
      <c r="E7" s="2">
        <f>E8+E11</f>
        <v>248978.28995500001</v>
      </c>
      <c r="F7" s="27">
        <f t="shared" si="3"/>
        <v>0.4737015990383133</v>
      </c>
      <c r="G7" s="31">
        <f>G8+G11</f>
        <v>238300</v>
      </c>
      <c r="H7" s="10">
        <f t="shared" si="4"/>
        <v>0.47188118811881186</v>
      </c>
      <c r="I7" s="2">
        <f t="shared" si="1"/>
        <v>10678.289955000015</v>
      </c>
      <c r="J7" s="4">
        <f t="shared" si="2"/>
        <v>1.0448102809693665</v>
      </c>
    </row>
    <row r="8" spans="1:10" ht="28.5" customHeight="1">
      <c r="A8" s="37" t="s">
        <v>19</v>
      </c>
      <c r="B8" s="37"/>
      <c r="C8" s="2">
        <f>C9+C10</f>
        <v>16926.13175</v>
      </c>
      <c r="D8" s="5">
        <f t="shared" si="0"/>
        <v>0.1546902677310717</v>
      </c>
      <c r="E8" s="2">
        <f>E9+E10</f>
        <v>84660.24875500001</v>
      </c>
      <c r="F8" s="27">
        <f t="shared" si="3"/>
        <v>0.1610730606972727</v>
      </c>
      <c r="G8" s="31">
        <f>G9+G10</f>
        <v>80150</v>
      </c>
      <c r="H8" s="10">
        <f t="shared" si="4"/>
        <v>0.15871287128712872</v>
      </c>
      <c r="I8" s="2">
        <f t="shared" si="1"/>
        <v>4510.248755000008</v>
      </c>
      <c r="J8" s="4">
        <f t="shared" si="2"/>
        <v>1.0562725983156582</v>
      </c>
    </row>
    <row r="9" spans="1:10" ht="15.75" customHeight="1">
      <c r="A9" s="37" t="s">
        <v>20</v>
      </c>
      <c r="B9" s="37"/>
      <c r="C9" s="2">
        <v>1050</v>
      </c>
      <c r="D9" s="5">
        <f t="shared" si="0"/>
        <v>0.009596095759896546</v>
      </c>
      <c r="E9" s="2">
        <v>7152.05</v>
      </c>
      <c r="F9" s="27">
        <f t="shared" si="3"/>
        <v>0.01360736119608782</v>
      </c>
      <c r="G9" s="31">
        <f>1%*G5</f>
        <v>4400</v>
      </c>
      <c r="H9" s="10">
        <f t="shared" si="4"/>
        <v>0.008712871287128714</v>
      </c>
      <c r="I9" s="2">
        <f t="shared" si="1"/>
        <v>2752.05</v>
      </c>
      <c r="J9" s="4">
        <f t="shared" si="2"/>
        <v>1.6254659090909092</v>
      </c>
    </row>
    <row r="10" spans="1:10" ht="15.75" customHeight="1">
      <c r="A10" s="37" t="s">
        <v>21</v>
      </c>
      <c r="B10" s="37"/>
      <c r="C10" s="2">
        <f>14.65%*(C4-C9)</f>
        <v>15876.131749999999</v>
      </c>
      <c r="D10" s="5">
        <f t="shared" si="0"/>
        <v>0.14509417197117513</v>
      </c>
      <c r="E10" s="2">
        <f>14.95%*(E4-E9)</f>
        <v>77508.198755</v>
      </c>
      <c r="F10" s="27">
        <f t="shared" si="3"/>
        <v>0.14746569950118488</v>
      </c>
      <c r="G10" s="31">
        <f>15%*G4</f>
        <v>75750</v>
      </c>
      <c r="H10" s="10">
        <f t="shared" si="4"/>
        <v>0.15</v>
      </c>
      <c r="I10" s="2">
        <f t="shared" si="1"/>
        <v>1758.198755000005</v>
      </c>
      <c r="J10" s="4">
        <f t="shared" si="2"/>
        <v>1.023210544620462</v>
      </c>
    </row>
    <row r="11" spans="1:10" ht="35.25" customHeight="1">
      <c r="A11" s="42" t="s">
        <v>22</v>
      </c>
      <c r="B11" s="42"/>
      <c r="C11" s="2">
        <f>SUM(C12:C14)</f>
        <v>34399.77</v>
      </c>
      <c r="D11" s="5">
        <f t="shared" si="0"/>
        <v>0.3143842733699203</v>
      </c>
      <c r="E11" s="2">
        <f>SUM(E12:E14)</f>
        <v>164318.0412</v>
      </c>
      <c r="F11" s="27">
        <f t="shared" si="3"/>
        <v>0.3126285383410406</v>
      </c>
      <c r="G11" s="31">
        <f>SUM(G12:G14)</f>
        <v>158150</v>
      </c>
      <c r="H11" s="10">
        <f t="shared" si="4"/>
        <v>0.31316831683168317</v>
      </c>
      <c r="I11" s="2">
        <f t="shared" si="1"/>
        <v>6168.041200000007</v>
      </c>
      <c r="J11" s="4">
        <f t="shared" si="2"/>
        <v>1.0390012089788176</v>
      </c>
    </row>
    <row r="12" spans="1:10" ht="15.75" customHeight="1">
      <c r="A12" s="37" t="s">
        <v>23</v>
      </c>
      <c r="B12" s="37"/>
      <c r="C12" s="2">
        <f>26.5%*C5</f>
        <v>24988.0425</v>
      </c>
      <c r="D12" s="5">
        <f t="shared" si="0"/>
        <v>0.22836918922129967</v>
      </c>
      <c r="E12" s="2">
        <f>26.5%*E5</f>
        <v>119290.1475</v>
      </c>
      <c r="F12" s="27">
        <f t="shared" si="3"/>
        <v>0.22695928078901748</v>
      </c>
      <c r="G12" s="31">
        <f>26%*G5</f>
        <v>114400</v>
      </c>
      <c r="H12" s="10">
        <f t="shared" si="4"/>
        <v>0.22653465346534654</v>
      </c>
      <c r="I12" s="2">
        <f t="shared" si="1"/>
        <v>4890.147500000006</v>
      </c>
      <c r="J12" s="4">
        <f t="shared" si="2"/>
        <v>1.0427460445804195</v>
      </c>
    </row>
    <row r="13" spans="1:10" ht="15.75" customHeight="1">
      <c r="A13" s="37" t="s">
        <v>24</v>
      </c>
      <c r="B13" s="37"/>
      <c r="C13" s="2">
        <f>6.5%*C5</f>
        <v>6129.1425</v>
      </c>
      <c r="D13" s="5">
        <f t="shared" si="0"/>
        <v>0.05601508414862068</v>
      </c>
      <c r="E13" s="2">
        <f>6.5%*E5</f>
        <v>29259.8475</v>
      </c>
      <c r="F13" s="27">
        <f t="shared" si="3"/>
        <v>0.05566925755202315</v>
      </c>
      <c r="G13" s="31">
        <f>6.5%*G5</f>
        <v>28600</v>
      </c>
      <c r="H13" s="10">
        <f t="shared" si="4"/>
        <v>0.056633663366336635</v>
      </c>
      <c r="I13" s="2">
        <f t="shared" si="1"/>
        <v>659.8474999999999</v>
      </c>
      <c r="J13" s="4">
        <f t="shared" si="2"/>
        <v>1.0230715909090908</v>
      </c>
    </row>
    <row r="14" spans="1:10" ht="15.75" customHeight="1">
      <c r="A14" s="37" t="s">
        <v>25</v>
      </c>
      <c r="B14" s="37"/>
      <c r="C14" s="2">
        <f>3%*C4</f>
        <v>3282.585</v>
      </c>
      <c r="D14" s="5">
        <f t="shared" si="0"/>
        <v>0.03</v>
      </c>
      <c r="E14" s="2">
        <f>3%*E4</f>
        <v>15768.0462</v>
      </c>
      <c r="F14" s="27">
        <f t="shared" si="3"/>
        <v>0.03</v>
      </c>
      <c r="G14" s="31">
        <f>3%*G4</f>
        <v>15150</v>
      </c>
      <c r="H14" s="10">
        <f t="shared" si="4"/>
        <v>0.03</v>
      </c>
      <c r="I14" s="2">
        <f t="shared" si="1"/>
        <v>618.0462000000007</v>
      </c>
      <c r="J14" s="4">
        <f t="shared" si="2"/>
        <v>1.0407951287128714</v>
      </c>
    </row>
    <row r="15" spans="1:10" ht="25.5" customHeight="1">
      <c r="A15" s="37" t="s">
        <v>26</v>
      </c>
      <c r="B15" s="37"/>
      <c r="C15" s="2">
        <f>C4-C7</f>
        <v>58093.59825</v>
      </c>
      <c r="D15" s="5">
        <f t="shared" si="0"/>
        <v>0.530925458899008</v>
      </c>
      <c r="E15" s="2">
        <f>E4-E7</f>
        <v>276623.250045</v>
      </c>
      <c r="F15" s="27">
        <f t="shared" si="3"/>
        <v>0.5262984009616867</v>
      </c>
      <c r="G15" s="31">
        <f>G4-G7</f>
        <v>266700</v>
      </c>
      <c r="H15" s="10">
        <f t="shared" si="4"/>
        <v>0.5281188118811881</v>
      </c>
      <c r="I15" s="2">
        <f t="shared" si="1"/>
        <v>9923.250044999993</v>
      </c>
      <c r="J15" s="4">
        <f t="shared" si="2"/>
        <v>1.037207536726659</v>
      </c>
    </row>
    <row r="16" spans="1:10" ht="17.25" customHeight="1">
      <c r="A16" s="37" t="s">
        <v>27</v>
      </c>
      <c r="B16" s="37"/>
      <c r="C16" s="2">
        <f>SUM(C17:C21)</f>
        <v>44850</v>
      </c>
      <c r="D16" s="5">
        <f t="shared" si="0"/>
        <v>0.4098903760298667</v>
      </c>
      <c r="E16" s="2">
        <f>SUM(E17:E21)</f>
        <v>198263.7</v>
      </c>
      <c r="F16" s="27">
        <f t="shared" si="3"/>
        <v>0.37721293586772975</v>
      </c>
      <c r="G16" s="31">
        <f>SUM(G17:G21)</f>
        <v>196320</v>
      </c>
      <c r="H16" s="10">
        <f t="shared" si="4"/>
        <v>0.38875247524752476</v>
      </c>
      <c r="I16" s="2">
        <f t="shared" si="1"/>
        <v>1943.7000000000116</v>
      </c>
      <c r="J16" s="4">
        <f t="shared" si="2"/>
        <v>1.0099006723716382</v>
      </c>
    </row>
    <row r="17" spans="1:10" ht="15.75" customHeight="1">
      <c r="A17" s="37" t="s">
        <v>28</v>
      </c>
      <c r="B17" s="37"/>
      <c r="C17" s="2">
        <v>3750</v>
      </c>
      <c r="D17" s="5">
        <f t="shared" si="0"/>
        <v>0.03427177057105909</v>
      </c>
      <c r="E17" s="2">
        <v>19850.5</v>
      </c>
      <c r="F17" s="27">
        <f t="shared" si="3"/>
        <v>0.037767202889093514</v>
      </c>
      <c r="G17" s="31">
        <v>20000</v>
      </c>
      <c r="H17" s="10">
        <f t="shared" si="4"/>
        <v>0.039603960396039604</v>
      </c>
      <c r="I17" s="2">
        <f t="shared" si="1"/>
        <v>-149.5</v>
      </c>
      <c r="J17" s="4">
        <f t="shared" si="2"/>
        <v>0.992525</v>
      </c>
    </row>
    <row r="18" spans="1:10" ht="12.75" customHeight="1">
      <c r="A18" s="37" t="s">
        <v>29</v>
      </c>
      <c r="B18" s="37"/>
      <c r="C18" s="2">
        <v>2900</v>
      </c>
      <c r="D18" s="5">
        <f t="shared" si="0"/>
        <v>0.02650350257495236</v>
      </c>
      <c r="E18" s="2">
        <v>15450</v>
      </c>
      <c r="F18" s="27">
        <f t="shared" si="3"/>
        <v>0.029394891042366426</v>
      </c>
      <c r="G18" s="31">
        <v>17850</v>
      </c>
      <c r="H18" s="10">
        <f t="shared" si="4"/>
        <v>0.03534653465346534</v>
      </c>
      <c r="I18" s="2">
        <f t="shared" si="1"/>
        <v>-2400</v>
      </c>
      <c r="J18" s="4">
        <f t="shared" si="2"/>
        <v>0.865546218487395</v>
      </c>
    </row>
    <row r="19" spans="1:10" ht="13.5" customHeight="1">
      <c r="A19" s="37" t="s">
        <v>30</v>
      </c>
      <c r="B19" s="37"/>
      <c r="C19" s="2">
        <v>21450</v>
      </c>
      <c r="D19" s="5">
        <f t="shared" si="0"/>
        <v>0.19603452766645799</v>
      </c>
      <c r="E19" s="2">
        <v>89457.5</v>
      </c>
      <c r="F19" s="27">
        <f t="shared" si="3"/>
        <v>0.1702002242991906</v>
      </c>
      <c r="G19" s="31">
        <v>87020</v>
      </c>
      <c r="H19" s="10">
        <f t="shared" si="4"/>
        <v>0.1723168316831683</v>
      </c>
      <c r="I19" s="2">
        <f t="shared" si="1"/>
        <v>2437.5</v>
      </c>
      <c r="J19" s="4">
        <f t="shared" si="2"/>
        <v>1.0280108021144565</v>
      </c>
    </row>
    <row r="20" spans="1:10" ht="15.75" customHeight="1">
      <c r="A20" s="37" t="s">
        <v>31</v>
      </c>
      <c r="B20" s="37"/>
      <c r="C20" s="2">
        <v>4700</v>
      </c>
      <c r="D20" s="5">
        <f t="shared" si="0"/>
        <v>0.04295395244906072</v>
      </c>
      <c r="E20" s="2">
        <v>24500.5</v>
      </c>
      <c r="F20" s="27">
        <f t="shared" si="3"/>
        <v>0.046614208930970784</v>
      </c>
      <c r="G20" s="31">
        <v>23000</v>
      </c>
      <c r="H20" s="10">
        <f t="shared" si="4"/>
        <v>0.04554455445544554</v>
      </c>
      <c r="I20" s="2">
        <f t="shared" si="1"/>
        <v>1500.5</v>
      </c>
      <c r="J20" s="4">
        <f t="shared" si="2"/>
        <v>1.0652391304347826</v>
      </c>
    </row>
    <row r="21" spans="1:10" ht="15.75" customHeight="1">
      <c r="A21" s="37" t="s">
        <v>32</v>
      </c>
      <c r="B21" s="37"/>
      <c r="C21" s="2">
        <v>12050</v>
      </c>
      <c r="D21" s="5">
        <f t="shared" si="0"/>
        <v>0.11012662276833654</v>
      </c>
      <c r="E21" s="2">
        <v>49005.2</v>
      </c>
      <c r="F21" s="27">
        <f t="shared" si="3"/>
        <v>0.09323640870610841</v>
      </c>
      <c r="G21" s="31">
        <v>48450</v>
      </c>
      <c r="H21" s="10">
        <f t="shared" si="4"/>
        <v>0.09594059405940594</v>
      </c>
      <c r="I21" s="2">
        <f t="shared" si="1"/>
        <v>555.1999999999971</v>
      </c>
      <c r="J21" s="4">
        <f t="shared" si="2"/>
        <v>1.0114592363261092</v>
      </c>
    </row>
    <row r="22" spans="1:10" ht="28.5" customHeight="1">
      <c r="A22" s="37" t="s">
        <v>33</v>
      </c>
      <c r="B22" s="37"/>
      <c r="C22" s="2">
        <v>4350</v>
      </c>
      <c r="D22" s="5">
        <f t="shared" si="0"/>
        <v>0.03975525386242854</v>
      </c>
      <c r="E22" s="2">
        <v>23150.5</v>
      </c>
      <c r="F22" s="27">
        <f t="shared" si="3"/>
        <v>0.04404572330590964</v>
      </c>
      <c r="G22" s="31">
        <v>20500</v>
      </c>
      <c r="H22" s="10">
        <f t="shared" si="4"/>
        <v>0.040594059405940595</v>
      </c>
      <c r="I22" s="2">
        <f t="shared" si="1"/>
        <v>2650.5</v>
      </c>
      <c r="J22" s="4">
        <f t="shared" si="2"/>
        <v>1.1292926829268293</v>
      </c>
    </row>
    <row r="23" spans="1:10" ht="27.75" customHeight="1">
      <c r="A23" s="37" t="s">
        <v>34</v>
      </c>
      <c r="B23" s="37"/>
      <c r="C23" s="2">
        <f>C15-C16-C22</f>
        <v>8893.598250000003</v>
      </c>
      <c r="D23" s="5">
        <f t="shared" si="0"/>
        <v>0.08127982900671273</v>
      </c>
      <c r="E23" s="2">
        <f>E15-E16-E22</f>
        <v>55209.05004499998</v>
      </c>
      <c r="F23" s="27">
        <f t="shared" si="3"/>
        <v>0.10503974178804723</v>
      </c>
      <c r="G23" s="31">
        <f>G15-G16-G22</f>
        <v>49880</v>
      </c>
      <c r="H23" s="10">
        <f t="shared" si="4"/>
        <v>0.09877227722772278</v>
      </c>
      <c r="I23" s="2">
        <f t="shared" si="1"/>
        <v>5329.050044999982</v>
      </c>
      <c r="J23" s="4">
        <f t="shared" si="2"/>
        <v>1.1068374106856451</v>
      </c>
    </row>
    <row r="24" spans="1:10" ht="25.5" customHeight="1">
      <c r="A24" s="37" t="s">
        <v>35</v>
      </c>
      <c r="B24" s="37"/>
      <c r="C24" s="2">
        <v>500</v>
      </c>
      <c r="D24" s="5">
        <f t="shared" si="0"/>
        <v>0.004569569409474545</v>
      </c>
      <c r="E24" s="2">
        <v>1725.4</v>
      </c>
      <c r="F24" s="27">
        <f t="shared" si="3"/>
        <v>0.003282714887022591</v>
      </c>
      <c r="G24" s="31">
        <v>1000</v>
      </c>
      <c r="H24" s="10">
        <f t="shared" si="4"/>
        <v>0.0019801980198019802</v>
      </c>
      <c r="I24" s="2">
        <f t="shared" si="1"/>
        <v>725.4000000000001</v>
      </c>
      <c r="J24" s="4">
        <f t="shared" si="2"/>
        <v>1.7254</v>
      </c>
    </row>
    <row r="25" spans="1:10" ht="15.75" customHeight="1">
      <c r="A25" s="37" t="s">
        <v>36</v>
      </c>
      <c r="B25" s="37"/>
      <c r="C25" s="6">
        <f>IF(9%*(C$23-C$24)&gt;0,9%*(C$23-C$24),0)</f>
        <v>755.4238425000002</v>
      </c>
      <c r="D25" s="5">
        <f t="shared" si="0"/>
        <v>0.006903923363751435</v>
      </c>
      <c r="E25" s="6">
        <f>IF(9%*(E$23-E$24)&gt;0,9%*(E$23-E$24),0)</f>
        <v>4813.528504049998</v>
      </c>
      <c r="F25" s="27">
        <f t="shared" si="3"/>
        <v>0.009158132421092218</v>
      </c>
      <c r="G25" s="32">
        <f>IF(9%*(G$23-G$24)&gt;0,9%*(G$23-G$24),0)</f>
        <v>4399.2</v>
      </c>
      <c r="H25" s="10">
        <f t="shared" si="4"/>
        <v>0.00871128712871287</v>
      </c>
      <c r="I25" s="2">
        <f t="shared" si="1"/>
        <v>414.3285040499986</v>
      </c>
      <c r="J25" s="4">
        <f t="shared" si="2"/>
        <v>1.0941826932283139</v>
      </c>
    </row>
    <row r="26" spans="1:10" ht="15.75" customHeight="1">
      <c r="A26" s="37" t="s">
        <v>37</v>
      </c>
      <c r="B26" s="37"/>
      <c r="C26" s="6">
        <f>IF(15%*(C$23-C$24)&gt;0,15%*(C$23-C$24),0)</f>
        <v>1259.0397375000005</v>
      </c>
      <c r="D26" s="5">
        <f t="shared" si="0"/>
        <v>0.011506538939585727</v>
      </c>
      <c r="E26" s="6">
        <f>IF(15%*(E$23-E$24)&gt;0,15%*(E$23-E$24),0)</f>
        <v>8022.5475067499965</v>
      </c>
      <c r="F26" s="27">
        <f t="shared" si="3"/>
        <v>0.015263554035153695</v>
      </c>
      <c r="G26" s="32">
        <f>IF(15%*(G$23-G$24)&gt;0,15%*(G$23-G$24),0)</f>
        <v>7332</v>
      </c>
      <c r="H26" s="10">
        <f t="shared" si="4"/>
        <v>0.014518811881188119</v>
      </c>
      <c r="I26" s="2">
        <f t="shared" si="1"/>
        <v>690.5475067499965</v>
      </c>
      <c r="J26" s="4">
        <f t="shared" si="2"/>
        <v>1.0941826932283139</v>
      </c>
    </row>
    <row r="27" spans="1:10" ht="25.5" customHeight="1">
      <c r="A27" s="36" t="s">
        <v>38</v>
      </c>
      <c r="B27" s="36"/>
      <c r="C27" s="12">
        <f>C23+C24-SUM(C25:C26)</f>
        <v>7379.134670000002</v>
      </c>
      <c r="D27" s="13">
        <f t="shared" si="0"/>
        <v>0.06743893611285011</v>
      </c>
      <c r="E27" s="12">
        <f>E23+E24-SUM(E25:E26)</f>
        <v>44098.37403419999</v>
      </c>
      <c r="F27" s="28">
        <f t="shared" si="3"/>
        <v>0.08390077021882392</v>
      </c>
      <c r="G27" s="12">
        <f>G23+G24-SUM(G25:G26)</f>
        <v>39148.8</v>
      </c>
      <c r="H27" s="13">
        <f t="shared" si="4"/>
        <v>0.07752237623762377</v>
      </c>
      <c r="I27" s="30">
        <f t="shared" si="1"/>
        <v>4949.574034199984</v>
      </c>
      <c r="J27" s="14">
        <f t="shared" si="2"/>
        <v>1.1264297764988962</v>
      </c>
    </row>
  </sheetData>
  <printOptions/>
  <pageMargins left="0.5905511811023623" right="0.5905511811023623" top="0.7874015748031497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:B2"/>
    </sheetView>
  </sheetViews>
  <sheetFormatPr defaultColWidth="9.00390625" defaultRowHeight="15.75"/>
  <cols>
    <col min="1" max="1" width="6.75390625" style="0" customWidth="1"/>
    <col min="2" max="2" width="12.75390625" style="0" customWidth="1"/>
    <col min="3" max="3" width="11.375" style="0" customWidth="1"/>
    <col min="4" max="4" width="9.125" style="0" customWidth="1"/>
    <col min="5" max="5" width="12.375" style="0" customWidth="1"/>
    <col min="6" max="6" width="10.00390625" style="0" customWidth="1"/>
    <col min="7" max="7" width="11.75390625" style="0" customWidth="1"/>
    <col min="8" max="8" width="8.50390625" style="0" customWidth="1"/>
    <col min="9" max="9" width="10.50390625" style="0" customWidth="1"/>
  </cols>
  <sheetData>
    <row r="1" spans="1:10" ht="25.5">
      <c r="A1" s="52" t="s">
        <v>39</v>
      </c>
      <c r="B1" s="52"/>
      <c r="C1" s="50" t="s">
        <v>40</v>
      </c>
      <c r="D1" s="48" t="s">
        <v>14</v>
      </c>
      <c r="E1" s="23" t="s">
        <v>41</v>
      </c>
      <c r="F1" s="48" t="s">
        <v>14</v>
      </c>
      <c r="G1" s="23" t="s">
        <v>42</v>
      </c>
      <c r="H1" s="48" t="s">
        <v>14</v>
      </c>
      <c r="I1" s="23" t="s">
        <v>41</v>
      </c>
      <c r="J1" s="50" t="s">
        <v>14</v>
      </c>
    </row>
    <row r="2" spans="1:10" ht="39" thickBot="1">
      <c r="A2" s="52"/>
      <c r="B2" s="52"/>
      <c r="C2" s="51"/>
      <c r="D2" s="49"/>
      <c r="E2" s="24" t="s">
        <v>43</v>
      </c>
      <c r="F2" s="49"/>
      <c r="G2" s="24" t="s">
        <v>44</v>
      </c>
      <c r="H2" s="49"/>
      <c r="I2" s="24" t="s">
        <v>45</v>
      </c>
      <c r="J2" s="51"/>
    </row>
    <row r="3" spans="1:10" ht="25.5">
      <c r="A3" s="46" t="s">
        <v>46</v>
      </c>
      <c r="B3" s="46"/>
      <c r="C3" s="15">
        <v>780000</v>
      </c>
      <c r="D3" s="20">
        <v>1</v>
      </c>
      <c r="E3" s="15">
        <f>C3*1.2</f>
        <v>936000</v>
      </c>
      <c r="F3" s="20">
        <v>1</v>
      </c>
      <c r="G3" s="15">
        <f>C3</f>
        <v>780000</v>
      </c>
      <c r="H3" s="20">
        <v>1</v>
      </c>
      <c r="I3" s="15">
        <f>C3*(1+7%)</f>
        <v>834600</v>
      </c>
      <c r="J3" s="18">
        <v>1</v>
      </c>
    </row>
    <row r="4" spans="1:10" ht="76.5">
      <c r="A4" s="46" t="s">
        <v>47</v>
      </c>
      <c r="B4" s="46"/>
      <c r="C4" s="15">
        <f>72.4%*C3</f>
        <v>564720.0000000001</v>
      </c>
      <c r="D4" s="20">
        <f aca="true" t="shared" si="0" ref="D4:D10">C4/C$3</f>
        <v>0.7240000000000002</v>
      </c>
      <c r="E4" s="15">
        <f>D4*E3</f>
        <v>677664.0000000002</v>
      </c>
      <c r="F4" s="20">
        <f>E4/E$3</f>
        <v>0.7240000000000002</v>
      </c>
      <c r="G4" s="15">
        <f>C4</f>
        <v>564720.0000000001</v>
      </c>
      <c r="H4" s="20">
        <f>G4/G$3</f>
        <v>0.7240000000000002</v>
      </c>
      <c r="I4" s="15">
        <f>C4+(I3-C3)*20.7%</f>
        <v>576022.2000000001</v>
      </c>
      <c r="J4" s="18">
        <f>I4/I$3</f>
        <v>0.690177570093458</v>
      </c>
    </row>
    <row r="5" spans="1:10" ht="51">
      <c r="A5" s="46" t="s">
        <v>48</v>
      </c>
      <c r="B5" s="46"/>
      <c r="C5" s="17">
        <f>C3-C4</f>
        <v>215279.99999999988</v>
      </c>
      <c r="D5" s="20">
        <f t="shared" si="0"/>
        <v>0.27599999999999986</v>
      </c>
      <c r="E5" s="17">
        <f>E3-E4</f>
        <v>258335.99999999977</v>
      </c>
      <c r="F5" s="20">
        <f aca="true" t="shared" si="1" ref="F5:J8">E5/E$3</f>
        <v>0.27599999999999975</v>
      </c>
      <c r="G5" s="17">
        <f>G3-G4</f>
        <v>215279.99999999988</v>
      </c>
      <c r="H5" s="20">
        <f t="shared" si="1"/>
        <v>0.27599999999999986</v>
      </c>
      <c r="I5" s="17">
        <f>I3-I4</f>
        <v>258577.79999999993</v>
      </c>
      <c r="J5" s="18">
        <f t="shared" si="1"/>
        <v>0.30982242990654196</v>
      </c>
    </row>
    <row r="6" spans="1:10" ht="25.5">
      <c r="A6" s="46" t="s">
        <v>49</v>
      </c>
      <c r="B6" s="46"/>
      <c r="C6" s="15">
        <v>175000</v>
      </c>
      <c r="D6" s="20">
        <f t="shared" si="0"/>
        <v>0.22435897435897437</v>
      </c>
      <c r="E6" s="15">
        <f>C6</f>
        <v>175000</v>
      </c>
      <c r="F6" s="20">
        <f t="shared" si="1"/>
        <v>0.18696581196581197</v>
      </c>
      <c r="G6" s="15">
        <f>C6*(1-10%)</f>
        <v>157500</v>
      </c>
      <c r="H6" s="20">
        <f t="shared" si="1"/>
        <v>0.20192307692307693</v>
      </c>
      <c r="I6" s="15">
        <f>C6</f>
        <v>175000</v>
      </c>
      <c r="J6" s="18">
        <f t="shared" si="1"/>
        <v>0.2096812844476396</v>
      </c>
    </row>
    <row r="7" spans="1:10" ht="38.25">
      <c r="A7" s="47" t="s">
        <v>50</v>
      </c>
      <c r="B7" s="47"/>
      <c r="C7" s="17">
        <f>C5-C6</f>
        <v>40279.99999999988</v>
      </c>
      <c r="D7" s="20">
        <f t="shared" si="0"/>
        <v>0.05164102564102549</v>
      </c>
      <c r="E7" s="17">
        <f>E5-E6</f>
        <v>83335.99999999977</v>
      </c>
      <c r="F7" s="20">
        <f t="shared" si="1"/>
        <v>0.08903418803418779</v>
      </c>
      <c r="G7" s="17">
        <f>G5-G6</f>
        <v>57779.99999999988</v>
      </c>
      <c r="H7" s="20">
        <f t="shared" si="1"/>
        <v>0.07407692307692293</v>
      </c>
      <c r="I7" s="17">
        <f>I5-I6</f>
        <v>83577.79999999993</v>
      </c>
      <c r="J7" s="18">
        <f t="shared" si="1"/>
        <v>0.10014114545890239</v>
      </c>
    </row>
    <row r="8" spans="1:10" ht="51">
      <c r="A8" s="46" t="s">
        <v>51</v>
      </c>
      <c r="B8" s="46"/>
      <c r="C8" s="15">
        <f>1.5%*C3</f>
        <v>11700</v>
      </c>
      <c r="D8" s="20">
        <f t="shared" si="0"/>
        <v>0.015</v>
      </c>
      <c r="E8" s="15">
        <f>F8*E3</f>
        <v>14040</v>
      </c>
      <c r="F8" s="20">
        <f>D8</f>
        <v>0.015</v>
      </c>
      <c r="G8" s="15">
        <f>C8</f>
        <v>11700</v>
      </c>
      <c r="H8" s="20">
        <f>G8/G3</f>
        <v>0.015</v>
      </c>
      <c r="I8" s="15">
        <f>C8</f>
        <v>11700</v>
      </c>
      <c r="J8" s="18">
        <f t="shared" si="1"/>
        <v>0.014018691588785047</v>
      </c>
    </row>
    <row r="9" spans="1:10" ht="25.5">
      <c r="A9" s="46" t="s">
        <v>52</v>
      </c>
      <c r="B9" s="46"/>
      <c r="C9" s="15">
        <f>IF((C7-C8)*34%&gt;0,(C7-C8)*34%,0)</f>
        <v>9717.19999999996</v>
      </c>
      <c r="D9" s="20">
        <f t="shared" si="0"/>
        <v>0.012457948717948667</v>
      </c>
      <c r="E9" s="15">
        <f>IF((E7-E8)*34%&gt;0,(E7-E8)*34%,0)</f>
        <v>23560.639999999923</v>
      </c>
      <c r="F9" s="20">
        <f>E9/E$3</f>
        <v>0.025171623931623848</v>
      </c>
      <c r="G9" s="15">
        <f>IF((G7-G8)*34%&gt;0,(G7-G8)*34%,0)</f>
        <v>15667.19999999996</v>
      </c>
      <c r="H9" s="20">
        <f>G9/G$3</f>
        <v>0.020086153846153795</v>
      </c>
      <c r="I9" s="15">
        <f>IF((I7-I8)*34%&gt;0,(I7-I8)*34%,0)</f>
        <v>24438.45199999998</v>
      </c>
      <c r="J9" s="25">
        <f>I9/I$3</f>
        <v>0.0292816343158399</v>
      </c>
    </row>
    <row r="10" spans="1:10" ht="51">
      <c r="A10" s="47" t="s">
        <v>53</v>
      </c>
      <c r="B10" s="47"/>
      <c r="C10" s="15">
        <f>C7-C8-C9</f>
        <v>18862.799999999923</v>
      </c>
      <c r="D10" s="20">
        <f t="shared" si="0"/>
        <v>0.024183076923076825</v>
      </c>
      <c r="E10" s="15">
        <f>E7-E8-E9</f>
        <v>45735.35999999984</v>
      </c>
      <c r="F10" s="20">
        <f>E10/E$3</f>
        <v>0.048862564102563934</v>
      </c>
      <c r="G10" s="15">
        <f>G7-G8-G9</f>
        <v>30412.799999999923</v>
      </c>
      <c r="H10" s="20">
        <f>G10/G$3</f>
        <v>0.038990769230769134</v>
      </c>
      <c r="I10" s="15">
        <f>I7-I8-I9</f>
        <v>47439.347999999954</v>
      </c>
      <c r="J10" s="25">
        <f>I10/I$3</f>
        <v>0.056840819554277444</v>
      </c>
    </row>
    <row r="11" spans="1:10" ht="15.75" customHeight="1">
      <c r="A11" s="46" t="s">
        <v>54</v>
      </c>
      <c r="B11" s="46"/>
      <c r="C11" s="19"/>
      <c r="D11" s="21"/>
      <c r="E11" s="18">
        <f>E10/$C10</f>
        <v>2.4246326102169364</v>
      </c>
      <c r="F11" s="22" t="s">
        <v>55</v>
      </c>
      <c r="G11" s="18">
        <f>G10/$C10</f>
        <v>1.61231630510847</v>
      </c>
      <c r="H11" s="22" t="s">
        <v>55</v>
      </c>
      <c r="I11" s="18">
        <f>I10/$C10</f>
        <v>2.514968509447174</v>
      </c>
      <c r="J11" s="16" t="s">
        <v>55</v>
      </c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www.portaltributario.com.br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Demonstração do Resultado Gerencial e Orçamentário</dc:title>
  <dc:subject/>
  <dc:creator>Portal Tributário Editora Ltda.</dc:creator>
  <cp:keywords/>
  <dc:description/>
  <cp:lastModifiedBy>Júlio César Zanluca</cp:lastModifiedBy>
  <cp:lastPrinted>2003-05-26T17:27:22Z</cp:lastPrinted>
  <dcterms:created xsi:type="dcterms:W3CDTF">2003-05-24T14:15:12Z</dcterms:created>
  <dcterms:modified xsi:type="dcterms:W3CDTF">2005-06-25T14:12:46Z</dcterms:modified>
  <cp:category/>
  <cp:version/>
  <cp:contentType/>
  <cp:contentStatus/>
</cp:coreProperties>
</file>